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achenko\Desktop\"/>
    </mc:Choice>
  </mc:AlternateContent>
  <xr:revisionPtr revIDLastSave="0" documentId="8_{1CB9A32C-ABBE-433C-B1B4-FF5980B9326E}" xr6:coauthVersionLast="37" xr6:coauthVersionMax="37" xr10:uidLastSave="{00000000-0000-0000-0000-000000000000}"/>
  <bookViews>
    <workbookView xWindow="-108" yWindow="-108" windowWidth="23256" windowHeight="12576" activeTab="3" xr2:uid="{00000000-000D-0000-FFFF-FFFF00000000}"/>
  </bookViews>
  <sheets>
    <sheet name="фіз.ос заг пай" sheetId="9" r:id="rId1"/>
    <sheet name="Юр 4 гр ТвРос" sheetId="4" r:id="rId2"/>
    <sheet name="ФГ 4 гр" sheetId="10" r:id="rId3"/>
    <sheet name="Юр заг" sheetId="7" r:id="rId4"/>
  </sheets>
  <calcPr calcId="191029"/>
</workbook>
</file>

<file path=xl/calcChain.xml><?xml version="1.0" encoding="utf-8"?>
<calcChain xmlns="http://schemas.openxmlformats.org/spreadsheetml/2006/main">
  <c r="N10" i="9" l="1"/>
  <c r="B15" i="9"/>
  <c r="B9" i="9" s="1"/>
  <c r="H5" i="9"/>
  <c r="N19" i="9"/>
  <c r="N20" i="9" s="1"/>
  <c r="H19" i="9"/>
  <c r="H20" i="9" s="1"/>
  <c r="B20" i="9"/>
  <c r="B19" i="9"/>
  <c r="B5" i="9"/>
  <c r="B9" i="7"/>
  <c r="N5" i="9"/>
  <c r="B5" i="4"/>
  <c r="K11" i="9"/>
  <c r="J11" i="9"/>
  <c r="I11" i="9"/>
  <c r="B8" i="9" l="1"/>
  <c r="I15" i="7"/>
  <c r="I9" i="7"/>
  <c r="B18" i="7"/>
  <c r="B15" i="7"/>
  <c r="B20" i="7"/>
  <c r="I3" i="7"/>
  <c r="I5" i="7" s="1"/>
  <c r="J5" i="7" s="1"/>
  <c r="B5" i="7"/>
  <c r="B3" i="7"/>
  <c r="F14" i="10"/>
  <c r="B12" i="10"/>
  <c r="B14" i="10"/>
  <c r="B9" i="10"/>
  <c r="B3" i="10"/>
  <c r="B5" i="10" s="1"/>
  <c r="I14" i="4"/>
  <c r="I11" i="4"/>
  <c r="I15" i="4" s="1"/>
  <c r="J15" i="4" s="1"/>
  <c r="B14" i="4"/>
  <c r="B11" i="4"/>
  <c r="O5" i="9"/>
  <c r="N3" i="9"/>
  <c r="H3" i="9"/>
  <c r="B10" i="9"/>
  <c r="B3" i="9"/>
  <c r="I11" i="7"/>
  <c r="I10" i="7"/>
  <c r="I20" i="7"/>
  <c r="I18" i="7"/>
  <c r="I13" i="7" l="1"/>
  <c r="I14" i="7"/>
  <c r="J15" i="7"/>
  <c r="K15" i="7" s="1"/>
  <c r="L15" i="7" s="1"/>
  <c r="B14" i="7"/>
  <c r="B13" i="7"/>
  <c r="B11" i="7"/>
  <c r="B10" i="7"/>
  <c r="I2" i="4"/>
  <c r="I3" i="4" s="1"/>
  <c r="B2" i="4"/>
  <c r="B3" i="4" s="1"/>
  <c r="B11" i="9"/>
  <c r="C11" i="9" s="1"/>
  <c r="D11" i="9" s="1"/>
  <c r="E11" i="9" s="1"/>
  <c r="N11" i="9" l="1"/>
  <c r="O11" i="9" s="1"/>
  <c r="P11" i="9" l="1"/>
  <c r="Q11" i="9" s="1"/>
  <c r="B10" i="10" l="1"/>
  <c r="D14" i="10"/>
  <c r="B11" i="10" l="1"/>
  <c r="B13" i="10"/>
  <c r="C5" i="10"/>
  <c r="C15" i="7"/>
  <c r="C14" i="10" l="1"/>
  <c r="E14" i="10" s="1"/>
  <c r="C5" i="7"/>
  <c r="D15" i="7" s="1"/>
  <c r="F15" i="7" s="1"/>
  <c r="D15" i="4" l="1"/>
  <c r="E15" i="7" l="1"/>
  <c r="I5" i="9"/>
  <c r="C5" i="9"/>
  <c r="H10" i="9" l="1"/>
  <c r="H11" i="9" s="1"/>
  <c r="C5" i="4"/>
  <c r="B15" i="4"/>
  <c r="C15" i="4" s="1"/>
  <c r="E15" i="4" l="1"/>
  <c r="F15" i="4" s="1"/>
  <c r="I5" i="4"/>
  <c r="J5" i="4" s="1"/>
  <c r="K15" i="4" s="1"/>
  <c r="L15" i="4" s="1"/>
</calcChain>
</file>

<file path=xl/sharedStrings.xml><?xml version="1.0" encoding="utf-8"?>
<sst xmlns="http://schemas.openxmlformats.org/spreadsheetml/2006/main" count="155" uniqueCount="45">
  <si>
    <t xml:space="preserve">НГО земельних ділянок </t>
  </si>
  <si>
    <t>НГО земельних ділянок тільки тих  з яких сплачується єдиний податок</t>
  </si>
  <si>
    <t>ПДФО з доходу найманих працівників</t>
  </si>
  <si>
    <t>ВЗ з доходу найманих працівників</t>
  </si>
  <si>
    <t xml:space="preserve">Єдиний податок </t>
  </si>
  <si>
    <t>ПДФО з доходу пайовиків</t>
  </si>
  <si>
    <t>ВЗ з доходу пайовиків</t>
  </si>
  <si>
    <t xml:space="preserve">Всього </t>
  </si>
  <si>
    <t>Середня НГО 1 га</t>
  </si>
  <si>
    <t>Податкове навантаження на 1га</t>
  </si>
  <si>
    <t xml:space="preserve">ВЗ  сплачений  з доходу безпосередньо від реалізації власної сільськогосподарської продукції </t>
  </si>
  <si>
    <t>Кількість найманих працівників</t>
  </si>
  <si>
    <t>Кількість найманих працівників на 1 га</t>
  </si>
  <si>
    <t>Доплата за ППЗ</t>
  </si>
  <si>
    <t>НГО земельних ділянок</t>
  </si>
  <si>
    <t xml:space="preserve">Показник </t>
  </si>
  <si>
    <t xml:space="preserve">Податкове навантаження на 1га </t>
  </si>
  <si>
    <t xml:space="preserve">Загальна площа земельних ділянок </t>
  </si>
  <si>
    <t>Загальна площа земельних ділянок  орендованих у фіз.особах/га</t>
  </si>
  <si>
    <t>Загальна площа земельних ділянок  у т.ч. орендованих у фіз.особах/га</t>
  </si>
  <si>
    <r>
      <t xml:space="preserve">ПДФО  сплачений  з доходу безпосередньо </t>
    </r>
    <r>
      <rPr>
        <b/>
        <sz val="10"/>
        <color theme="1"/>
        <rFont val="Arial"/>
        <family val="2"/>
        <charset val="204"/>
      </rPr>
      <t xml:space="preserve">від реалізації власної сільськогосподарської продукції </t>
    </r>
  </si>
  <si>
    <t>Дохід  від реалізації власної сільськогосподарської продукції (довідково)</t>
  </si>
  <si>
    <t>Доплата ППЗ з загальної площі</t>
  </si>
  <si>
    <t>Земельний податок з сільськогосподарських угідь</t>
  </si>
  <si>
    <t xml:space="preserve">ВЗ  сплачений  з доходу безпосередньо від реалізації власної сільськогосподарської продукції, 1,5% </t>
  </si>
  <si>
    <r>
      <t xml:space="preserve">ПДФО  сплачений  з доходу безпосередньо </t>
    </r>
    <r>
      <rPr>
        <b/>
        <sz val="10"/>
        <color theme="1"/>
        <rFont val="Arial"/>
        <family val="2"/>
        <charset val="204"/>
      </rPr>
      <t>від реалізації власної сільськогосподарської продукції ,18%</t>
    </r>
  </si>
  <si>
    <t>Збільшення/зменшення на 1га</t>
  </si>
  <si>
    <t>Загальний дохід від реалізації сільськогосподарської продукції вирощеної з  усіх сільськогосподарських угідь (декларація)</t>
  </si>
  <si>
    <t>Розразунок ППЗ за НГО 2020 року</t>
  </si>
  <si>
    <t>Фактично сплачені податки у 2020 році</t>
  </si>
  <si>
    <t>ПДФО з доходу найманих працівників, ГПХ, див</t>
  </si>
  <si>
    <t xml:space="preserve"> Земельний податок з сільськогосподарських угідь 0,5%</t>
  </si>
  <si>
    <t xml:space="preserve">Сума земельного податку фіз.особи за 2020 р. </t>
  </si>
  <si>
    <t>Критерій ППЗ за ставкою 5%</t>
  </si>
  <si>
    <r>
      <t xml:space="preserve">Критерій ППЗ за ставкою </t>
    </r>
    <r>
      <rPr>
        <b/>
        <sz val="10"/>
        <color rgb="FFFF0000"/>
        <rFont val="Arial"/>
        <family val="2"/>
        <charset val="204"/>
      </rPr>
      <t>5%</t>
    </r>
  </si>
  <si>
    <t>Оренда плата 20% від суми оренди 973 га (оренда 10% від НГО)</t>
  </si>
  <si>
    <r>
      <t xml:space="preserve">Податок на прибуток сплачений  з доходу від реалізації власної сільськогосподарської продукції </t>
    </r>
    <r>
      <rPr>
        <sz val="10"/>
        <color rgb="FFFF0000"/>
        <rFont val="Arial"/>
        <family val="2"/>
        <charset val="204"/>
      </rPr>
      <t>(60% діяльності)</t>
    </r>
  </si>
  <si>
    <t>Податок на прибуток сплачений  з доходу від реалізації власної сільськогосподарської продукції (20% маржа)</t>
  </si>
  <si>
    <t>Пільга відповідно до п. 165.1.24. ПКУ</t>
  </si>
  <si>
    <t>12 розмірів мінімальної заробітної плати, встановленої законом на 1 січня звітного (податкового) року.</t>
  </si>
  <si>
    <t>НДФЛ та ВЗ (19,5%)</t>
  </si>
  <si>
    <t>на 01.01.2022 - 6500 грн</t>
  </si>
  <si>
    <t xml:space="preserve"> </t>
  </si>
  <si>
    <r>
      <t>Розразунок ППЗ за НГО 2022 року</t>
    </r>
    <r>
      <rPr>
        <sz val="10"/>
        <color theme="1"/>
        <rFont val="Arial"/>
        <family val="2"/>
        <charset val="204"/>
      </rPr>
      <t xml:space="preserve"> (Фіз.особа, що  НЕ здає у користування/оренду свої сільськогосподарські угіддя (паї))</t>
    </r>
  </si>
  <si>
    <t>Фактично сплачені податки у 2022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</si>
</sst>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3" fontId="1" fillId="2" borderId="0" xfId="0" applyNumberFormat="1" applyFont="1" applyFill="1" applyAlignment="1">
      <alignment horizontal="left" vertical="top"/>
    </xf>
    <xf numFmtId="3" fontId="2" fillId="0" borderId="0" xfId="0" applyNumberFormat="1" applyFont="1" applyAlignment="1">
      <alignment horizontal="left" vertical="top"/>
    </xf>
    <xf numFmtId="3" fontId="1" fillId="0" borderId="0" xfId="0" applyNumberFormat="1" applyFont="1" applyAlignment="1">
      <alignment horizontal="left" vertical="top"/>
    </xf>
    <xf numFmtId="3" fontId="1" fillId="0" borderId="0" xfId="0" applyNumberFormat="1" applyFont="1" applyFill="1" applyAlignment="1">
      <alignment horizontal="left" vertical="top"/>
    </xf>
    <xf numFmtId="3" fontId="1" fillId="0" borderId="0" xfId="0" applyNumberFormat="1" applyFont="1" applyBorder="1" applyAlignment="1">
      <alignment horizontal="left" vertical="top"/>
    </xf>
    <xf numFmtId="3" fontId="2" fillId="0" borderId="0" xfId="0" applyNumberFormat="1" applyFont="1" applyBorder="1" applyAlignment="1">
      <alignment horizontal="left" vertical="top"/>
    </xf>
    <xf numFmtId="164" fontId="2" fillId="0" borderId="0" xfId="0" applyNumberFormat="1" applyFont="1" applyBorder="1" applyAlignment="1">
      <alignment horizontal="left" vertical="top"/>
    </xf>
    <xf numFmtId="3" fontId="1" fillId="2" borderId="0" xfId="0" applyNumberFormat="1" applyFont="1" applyFill="1" applyBorder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3" fontId="1" fillId="4" borderId="0" xfId="0" applyNumberFormat="1" applyFont="1" applyFill="1" applyAlignment="1">
      <alignment horizontal="left" vertical="top"/>
    </xf>
    <xf numFmtId="3" fontId="2" fillId="4" borderId="0" xfId="0" applyNumberFormat="1" applyFont="1" applyFill="1" applyAlignment="1">
      <alignment horizontal="left" vertical="top"/>
    </xf>
    <xf numFmtId="2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3" fontId="2" fillId="0" borderId="0" xfId="0" applyNumberFormat="1" applyFont="1" applyAlignment="1">
      <alignment vertical="top" wrapText="1"/>
    </xf>
    <xf numFmtId="3" fontId="2" fillId="2" borderId="0" xfId="0" applyNumberFormat="1" applyFont="1" applyFill="1" applyBorder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3" fontId="1" fillId="3" borderId="0" xfId="0" applyNumberFormat="1" applyFont="1" applyFill="1" applyAlignment="1">
      <alignment horizontal="left" vertical="top"/>
    </xf>
    <xf numFmtId="3" fontId="4" fillId="2" borderId="0" xfId="0" applyNumberFormat="1" applyFont="1" applyFill="1" applyBorder="1" applyAlignment="1">
      <alignment horizontal="left" vertical="top"/>
    </xf>
    <xf numFmtId="3" fontId="2" fillId="0" borderId="0" xfId="0" applyNumberFormat="1" applyFont="1" applyFill="1" applyAlignment="1">
      <alignment horizontal="left" vertical="top"/>
    </xf>
    <xf numFmtId="3" fontId="1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97971</xdr:colOff>
      <xdr:row>0</xdr:row>
      <xdr:rowOff>555173</xdr:rowOff>
    </xdr:from>
    <xdr:to>
      <xdr:col>0</xdr:col>
      <xdr:colOff>1416711</xdr:colOff>
      <xdr:row>1</xdr:row>
      <xdr:rowOff>0</xdr:rowOff>
    </xdr:to>
    <xdr:pic>
      <xdr:nvPicPr>
        <xdr:cNvPr id="3" name="Picture 2" descr="http://uacouncil.org/images/var_logo_upper.png">
          <a:extLst>
            <a:ext uri="{FF2B5EF4-FFF2-40B4-BE49-F238E27FC236}">
              <a16:creationId xmlns:a16="http://schemas.microsoft.com/office/drawing/2014/main" id="{8D0A46FC-16DB-4A6D-918C-3E010838B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971" y="555173"/>
          <a:ext cx="1318740" cy="56605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0</xdr:col>
      <xdr:colOff>1717846</xdr:colOff>
      <xdr:row>29</xdr:row>
      <xdr:rowOff>68488</xdr:rowOff>
    </xdr:to>
    <xdr:pic>
      <xdr:nvPicPr>
        <xdr:cNvPr id="2" name="Picture 2" descr="http://uacouncil.org/images/var_logo_upper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937760"/>
          <a:ext cx="1717846" cy="73904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118533</xdr:colOff>
      <xdr:row>0</xdr:row>
      <xdr:rowOff>254000</xdr:rowOff>
    </xdr:from>
    <xdr:to>
      <xdr:col>0</xdr:col>
      <xdr:colOff>1196219</xdr:colOff>
      <xdr:row>0</xdr:row>
      <xdr:rowOff>716586</xdr:rowOff>
    </xdr:to>
    <xdr:pic>
      <xdr:nvPicPr>
        <xdr:cNvPr id="3" name="Picture 2" descr="http://uacouncil.org/images/var_logo_upper.png">
          <a:extLst>
            <a:ext uri="{FF2B5EF4-FFF2-40B4-BE49-F238E27FC236}">
              <a16:creationId xmlns:a16="http://schemas.microsoft.com/office/drawing/2014/main" id="{7D985916-B23D-4E54-922B-1B4ACF8F4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533" y="254000"/>
          <a:ext cx="1077686" cy="46258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628186</xdr:colOff>
      <xdr:row>28</xdr:row>
      <xdr:rowOff>129447</xdr:rowOff>
    </xdr:to>
    <xdr:pic>
      <xdr:nvPicPr>
        <xdr:cNvPr id="2" name="Picture 2" descr="http://uacouncil.org/images/var_logo_upper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257800"/>
          <a:ext cx="1717846" cy="73904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121920</xdr:colOff>
      <xdr:row>0</xdr:row>
      <xdr:rowOff>243840</xdr:rowOff>
    </xdr:from>
    <xdr:to>
      <xdr:col>0</xdr:col>
      <xdr:colOff>1199606</xdr:colOff>
      <xdr:row>0</xdr:row>
      <xdr:rowOff>706426</xdr:rowOff>
    </xdr:to>
    <xdr:pic>
      <xdr:nvPicPr>
        <xdr:cNvPr id="3" name="Picture 2" descr="http://uacouncil.org/images/var_logo_upper.png">
          <a:extLst>
            <a:ext uri="{FF2B5EF4-FFF2-40B4-BE49-F238E27FC236}">
              <a16:creationId xmlns:a16="http://schemas.microsoft.com/office/drawing/2014/main" id="{A0A98CDC-291A-44D2-BFFC-C88FCAA6D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" y="243840"/>
          <a:ext cx="1077686" cy="462586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0</xdr:col>
      <xdr:colOff>1717846</xdr:colOff>
      <xdr:row>26</xdr:row>
      <xdr:rowOff>68487</xdr:rowOff>
    </xdr:to>
    <xdr:pic>
      <xdr:nvPicPr>
        <xdr:cNvPr id="2" name="Picture 2" descr="http://uacouncil.org/images/var_logo_upper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975860"/>
          <a:ext cx="1717846" cy="73904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143933</xdr:colOff>
      <xdr:row>0</xdr:row>
      <xdr:rowOff>296333</xdr:rowOff>
    </xdr:from>
    <xdr:to>
      <xdr:col>0</xdr:col>
      <xdr:colOff>1221619</xdr:colOff>
      <xdr:row>0</xdr:row>
      <xdr:rowOff>758919</xdr:rowOff>
    </xdr:to>
    <xdr:pic>
      <xdr:nvPicPr>
        <xdr:cNvPr id="3" name="Picture 2" descr="http://uacouncil.org/images/var_logo_upper.png">
          <a:extLst>
            <a:ext uri="{FF2B5EF4-FFF2-40B4-BE49-F238E27FC236}">
              <a16:creationId xmlns:a16="http://schemas.microsoft.com/office/drawing/2014/main" id="{D8A4D98A-8759-475B-B71E-126455BC6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33" y="296333"/>
          <a:ext cx="1077686" cy="46258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zoomScale="70" zoomScaleNormal="70" workbookViewId="0">
      <selection activeCell="M8" sqref="M8"/>
    </sheetView>
  </sheetViews>
  <sheetFormatPr defaultColWidth="9.109375" defaultRowHeight="13.2" x14ac:dyDescent="0.3"/>
  <cols>
    <col min="1" max="1" width="48.88671875" style="2" customWidth="1"/>
    <col min="2" max="2" width="11" style="2" customWidth="1"/>
    <col min="3" max="4" width="11.6640625" style="3" customWidth="1"/>
    <col min="5" max="5" width="10.5546875" style="3" customWidth="1"/>
    <col min="6" max="6" width="3.88671875" style="18" customWidth="1"/>
    <col min="7" max="7" width="43.109375" style="2" customWidth="1"/>
    <col min="8" max="8" width="13.6640625" style="2" customWidth="1"/>
    <col min="9" max="10" width="11.44140625" style="2" customWidth="1"/>
    <col min="11" max="11" width="12" style="2" customWidth="1"/>
    <col min="12" max="12" width="3.44140625" style="18" customWidth="1"/>
    <col min="13" max="13" width="43.109375" style="2" customWidth="1"/>
    <col min="14" max="14" width="13.109375" style="2" customWidth="1"/>
    <col min="15" max="15" width="14.77734375" style="2" customWidth="1"/>
    <col min="16" max="16" width="12.6640625" style="2" customWidth="1"/>
    <col min="17" max="17" width="13.77734375" style="2" customWidth="1"/>
    <col min="18" max="16384" width="9.109375" style="2"/>
  </cols>
  <sheetData>
    <row r="1" spans="1:17" s="3" customFormat="1" ht="88.2" customHeight="1" x14ac:dyDescent="0.3">
      <c r="A1" s="4" t="s">
        <v>43</v>
      </c>
      <c r="B1" s="3" t="s">
        <v>15</v>
      </c>
      <c r="C1" s="4" t="s">
        <v>16</v>
      </c>
      <c r="D1" s="22" t="s">
        <v>26</v>
      </c>
      <c r="E1" s="4" t="s">
        <v>22</v>
      </c>
      <c r="F1" s="17"/>
      <c r="G1" s="4" t="s">
        <v>43</v>
      </c>
      <c r="H1" s="3" t="s">
        <v>15</v>
      </c>
      <c r="I1" s="4" t="s">
        <v>16</v>
      </c>
      <c r="J1" s="22" t="s">
        <v>26</v>
      </c>
      <c r="K1" s="4" t="s">
        <v>22</v>
      </c>
      <c r="L1" s="17"/>
      <c r="M1" s="4" t="s">
        <v>43</v>
      </c>
      <c r="N1" s="3" t="s">
        <v>15</v>
      </c>
      <c r="O1" s="4" t="s">
        <v>16</v>
      </c>
      <c r="P1" s="22" t="s">
        <v>26</v>
      </c>
      <c r="Q1" s="4" t="s">
        <v>22</v>
      </c>
    </row>
    <row r="2" spans="1:17" x14ac:dyDescent="0.3">
      <c r="A2" s="2" t="s">
        <v>17</v>
      </c>
      <c r="B2" s="6">
        <v>4.5</v>
      </c>
      <c r="G2" s="2" t="s">
        <v>17</v>
      </c>
      <c r="H2" s="6">
        <v>4.5</v>
      </c>
      <c r="I2" s="3"/>
      <c r="J2" s="3"/>
      <c r="K2" s="3"/>
      <c r="M2" s="2" t="s">
        <v>17</v>
      </c>
      <c r="N2" s="25">
        <v>50</v>
      </c>
      <c r="O2" s="3"/>
      <c r="P2" s="3"/>
      <c r="Q2" s="3"/>
    </row>
    <row r="3" spans="1:17" x14ac:dyDescent="0.3">
      <c r="A3" s="8" t="s">
        <v>0</v>
      </c>
      <c r="B3" s="9">
        <f>B2*B4</f>
        <v>132750</v>
      </c>
      <c r="C3" s="10"/>
      <c r="D3" s="10"/>
      <c r="F3" s="19"/>
      <c r="G3" s="8" t="s">
        <v>0</v>
      </c>
      <c r="H3" s="9">
        <f>H2*H4</f>
        <v>132750</v>
      </c>
      <c r="I3" s="10"/>
      <c r="J3" s="10"/>
      <c r="K3" s="3"/>
      <c r="M3" s="8" t="s">
        <v>0</v>
      </c>
      <c r="N3" s="12">
        <f>N4*N2</f>
        <v>1475000</v>
      </c>
      <c r="O3" s="10"/>
      <c r="P3" s="10"/>
      <c r="Q3" s="3"/>
    </row>
    <row r="4" spans="1:17" x14ac:dyDescent="0.3">
      <c r="A4" s="8" t="s">
        <v>8</v>
      </c>
      <c r="B4" s="28">
        <v>29500</v>
      </c>
      <c r="C4" s="10"/>
      <c r="D4" s="10"/>
      <c r="E4" s="10"/>
      <c r="F4" s="19"/>
      <c r="G4" s="8" t="s">
        <v>8</v>
      </c>
      <c r="H4" s="28">
        <v>29500</v>
      </c>
      <c r="I4" s="10"/>
      <c r="J4" s="10"/>
      <c r="K4" s="10"/>
      <c r="M4" s="8" t="s">
        <v>8</v>
      </c>
      <c r="N4" s="28">
        <v>29500</v>
      </c>
      <c r="O4" s="10"/>
      <c r="P4" s="10"/>
      <c r="Q4" s="10"/>
    </row>
    <row r="5" spans="1:17" s="3" customFormat="1" x14ac:dyDescent="0.3">
      <c r="A5" s="3" t="s">
        <v>33</v>
      </c>
      <c r="B5" s="10">
        <f>B3*5%</f>
        <v>6637.5</v>
      </c>
      <c r="C5" s="10">
        <f>B5/B2</f>
        <v>1475</v>
      </c>
      <c r="D5" s="10"/>
      <c r="E5" s="10"/>
      <c r="F5" s="20"/>
      <c r="G5" s="3" t="s">
        <v>33</v>
      </c>
      <c r="H5" s="10">
        <f>H3*5%</f>
        <v>6637.5</v>
      </c>
      <c r="I5" s="10">
        <f>H5/H2</f>
        <v>1475</v>
      </c>
      <c r="J5" s="10"/>
      <c r="K5" s="10"/>
      <c r="L5" s="17"/>
      <c r="M5" s="3" t="s">
        <v>33</v>
      </c>
      <c r="N5" s="10">
        <f>N3*5%</f>
        <v>73750</v>
      </c>
      <c r="O5" s="10">
        <f>N5/N2</f>
        <v>1475</v>
      </c>
      <c r="P5" s="10"/>
      <c r="Q5" s="10"/>
    </row>
    <row r="6" spans="1:17" x14ac:dyDescent="0.3">
      <c r="B6" s="13"/>
      <c r="C6" s="14"/>
      <c r="D6" s="14"/>
      <c r="E6" s="10"/>
      <c r="F6" s="19"/>
      <c r="H6" s="13"/>
      <c r="I6" s="14"/>
      <c r="J6" s="14"/>
      <c r="K6" s="10"/>
      <c r="N6" s="13"/>
      <c r="O6" s="14"/>
      <c r="P6" s="14"/>
      <c r="Q6" s="10"/>
    </row>
    <row r="7" spans="1:17" x14ac:dyDescent="0.3">
      <c r="A7" s="3" t="s">
        <v>44</v>
      </c>
      <c r="B7" s="13"/>
      <c r="C7" s="14"/>
      <c r="D7" s="14"/>
      <c r="E7" s="10"/>
      <c r="F7" s="19"/>
      <c r="G7" s="3" t="s">
        <v>44</v>
      </c>
      <c r="H7" s="13"/>
      <c r="I7" s="14"/>
      <c r="J7" s="14"/>
      <c r="K7" s="10"/>
      <c r="M7" s="3" t="s">
        <v>44</v>
      </c>
      <c r="N7" s="13"/>
      <c r="O7" s="14"/>
      <c r="P7" s="14"/>
      <c r="Q7" s="10"/>
    </row>
    <row r="8" spans="1:17" ht="39.6" x14ac:dyDescent="0.3">
      <c r="A8" s="8" t="s">
        <v>25</v>
      </c>
      <c r="B8" s="16">
        <f>B15*18%</f>
        <v>20250</v>
      </c>
      <c r="C8" s="14"/>
      <c r="D8" s="14"/>
      <c r="E8" s="10"/>
      <c r="F8" s="19"/>
      <c r="G8" s="8" t="s">
        <v>20</v>
      </c>
      <c r="H8" s="16"/>
      <c r="I8" s="14"/>
      <c r="J8" s="14"/>
      <c r="K8" s="10"/>
      <c r="M8" s="8" t="s">
        <v>20</v>
      </c>
      <c r="N8" s="16"/>
      <c r="O8" s="14"/>
      <c r="P8" s="14"/>
      <c r="Q8" s="10"/>
    </row>
    <row r="9" spans="1:17" ht="39.6" x14ac:dyDescent="0.3">
      <c r="A9" s="8" t="s">
        <v>24</v>
      </c>
      <c r="B9" s="16">
        <f>B15*1.5%</f>
        <v>1687.5</v>
      </c>
      <c r="C9" s="14"/>
      <c r="D9" s="14"/>
      <c r="E9" s="10"/>
      <c r="F9" s="19"/>
      <c r="G9" s="8" t="s">
        <v>10</v>
      </c>
      <c r="H9" s="16"/>
      <c r="I9" s="14"/>
      <c r="J9" s="14"/>
      <c r="K9" s="10"/>
      <c r="M9" s="8" t="s">
        <v>10</v>
      </c>
      <c r="N9" s="16"/>
      <c r="O9" s="14"/>
      <c r="P9" s="14"/>
      <c r="Q9" s="10"/>
    </row>
    <row r="10" spans="1:17" ht="26.4" x14ac:dyDescent="0.3">
      <c r="A10" s="8" t="s">
        <v>31</v>
      </c>
      <c r="B10" s="16">
        <f>B3*0.5%</f>
        <v>663.75</v>
      </c>
      <c r="C10" s="14"/>
      <c r="D10" s="14"/>
      <c r="E10" s="10"/>
      <c r="F10" s="19"/>
      <c r="G10" s="8" t="s">
        <v>31</v>
      </c>
      <c r="H10" s="16">
        <f>H3*0.5%</f>
        <v>663.75</v>
      </c>
      <c r="I10" s="14"/>
      <c r="J10" s="14"/>
      <c r="K10" s="10"/>
      <c r="M10" s="8" t="s">
        <v>31</v>
      </c>
      <c r="N10" s="16">
        <f>N3*0.5%</f>
        <v>7375</v>
      </c>
      <c r="O10" s="14"/>
      <c r="P10" s="14"/>
      <c r="Q10" s="10"/>
    </row>
    <row r="11" spans="1:17" s="3" customFormat="1" x14ac:dyDescent="0.3">
      <c r="A11" s="4" t="s">
        <v>7</v>
      </c>
      <c r="B11" s="14">
        <f>SUM(B8:B10)</f>
        <v>22601.25</v>
      </c>
      <c r="C11" s="14">
        <f>B11/B2</f>
        <v>5022.5</v>
      </c>
      <c r="D11" s="14">
        <f>C5-C11</f>
        <v>-3547.5</v>
      </c>
      <c r="E11" s="10">
        <f>D11*B2</f>
        <v>-15963.75</v>
      </c>
      <c r="F11" s="20"/>
      <c r="G11" s="4" t="s">
        <v>7</v>
      </c>
      <c r="H11" s="14">
        <f>SUM(H8:H10)</f>
        <v>663.75</v>
      </c>
      <c r="I11" s="14">
        <f>H11/H2</f>
        <v>147.5</v>
      </c>
      <c r="J11" s="14">
        <f>I5-I11</f>
        <v>1327.5</v>
      </c>
      <c r="K11" s="10">
        <f>J11*H2</f>
        <v>5973.75</v>
      </c>
      <c r="L11" s="17"/>
      <c r="M11" s="4" t="s">
        <v>7</v>
      </c>
      <c r="N11" s="14">
        <f>SUM(N8:N10)</f>
        <v>7375</v>
      </c>
      <c r="O11" s="14">
        <f>N11/N2</f>
        <v>147.5</v>
      </c>
      <c r="P11" s="14">
        <f>O5-O11</f>
        <v>1327.5</v>
      </c>
      <c r="Q11" s="10">
        <f>P11*N2</f>
        <v>66375</v>
      </c>
    </row>
    <row r="12" spans="1:17" x14ac:dyDescent="0.3">
      <c r="A12" s="8"/>
      <c r="B12" s="13"/>
      <c r="C12" s="14"/>
      <c r="D12" s="14"/>
      <c r="E12" s="10"/>
      <c r="F12" s="19"/>
      <c r="G12" s="8"/>
      <c r="H12" s="13"/>
      <c r="I12" s="14"/>
      <c r="J12" s="14"/>
      <c r="K12" s="10"/>
      <c r="M12" s="8"/>
      <c r="N12" s="13"/>
      <c r="O12" s="14"/>
      <c r="P12" s="14"/>
      <c r="Q12" s="10"/>
    </row>
    <row r="13" spans="1:17" x14ac:dyDescent="0.3">
      <c r="I13" s="3"/>
      <c r="J13" s="3"/>
      <c r="K13" s="3"/>
      <c r="O13" s="3"/>
      <c r="P13" s="3"/>
      <c r="Q13" s="3"/>
    </row>
    <row r="14" spans="1:17" x14ac:dyDescent="0.3">
      <c r="I14" s="3"/>
      <c r="J14" s="3"/>
      <c r="K14" s="3"/>
      <c r="O14" s="3"/>
      <c r="P14" s="3"/>
      <c r="Q14" s="3"/>
    </row>
    <row r="15" spans="1:17" ht="26.4" x14ac:dyDescent="0.3">
      <c r="A15" s="8" t="s">
        <v>21</v>
      </c>
      <c r="B15" s="9">
        <f>B2*25000</f>
        <v>112500</v>
      </c>
      <c r="G15" s="8" t="s">
        <v>21</v>
      </c>
      <c r="H15" s="9"/>
      <c r="I15" s="3"/>
      <c r="J15" s="3"/>
      <c r="K15" s="3"/>
      <c r="M15" s="8" t="s">
        <v>21</v>
      </c>
      <c r="N15" s="9"/>
      <c r="O15" s="3"/>
      <c r="P15" s="3"/>
      <c r="Q15" s="3"/>
    </row>
    <row r="17" spans="1:14" x14ac:dyDescent="0.3">
      <c r="A17" s="2" t="s">
        <v>38</v>
      </c>
      <c r="G17" s="2" t="s">
        <v>38</v>
      </c>
      <c r="M17" s="2" t="s">
        <v>38</v>
      </c>
    </row>
    <row r="18" spans="1:14" ht="39.6" x14ac:dyDescent="0.3">
      <c r="A18" s="8" t="s">
        <v>39</v>
      </c>
      <c r="G18" s="8" t="s">
        <v>39</v>
      </c>
      <c r="M18" s="8" t="s">
        <v>39</v>
      </c>
    </row>
    <row r="19" spans="1:14" x14ac:dyDescent="0.3">
      <c r="A19" s="2" t="s">
        <v>41</v>
      </c>
      <c r="B19" s="29">
        <f>12*6500</f>
        <v>78000</v>
      </c>
      <c r="G19" s="2" t="s">
        <v>41</v>
      </c>
      <c r="H19" s="29">
        <f>12*6500</f>
        <v>78000</v>
      </c>
      <c r="M19" s="2" t="s">
        <v>41</v>
      </c>
      <c r="N19" s="29">
        <f>12*6500</f>
        <v>78000</v>
      </c>
    </row>
    <row r="20" spans="1:14" x14ac:dyDescent="0.3">
      <c r="A20" s="2" t="s">
        <v>40</v>
      </c>
      <c r="B20" s="11">
        <f>B19*19.5%</f>
        <v>15210</v>
      </c>
      <c r="G20" s="2" t="s">
        <v>40</v>
      </c>
      <c r="H20" s="11">
        <f>H19*19.5%</f>
        <v>15210</v>
      </c>
      <c r="M20" s="2" t="s">
        <v>40</v>
      </c>
      <c r="N20" s="11">
        <f>N19*19.5%</f>
        <v>15210</v>
      </c>
    </row>
    <row r="25" spans="1:14" x14ac:dyDescent="0.3">
      <c r="A25" s="2" t="s">
        <v>42</v>
      </c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zoomScale="90" zoomScaleNormal="90" workbookViewId="0">
      <pane ySplit="1" topLeftCell="A2" activePane="bottomLeft" state="frozen"/>
      <selection pane="bottomLeft" activeCell="A20" sqref="A20"/>
    </sheetView>
  </sheetViews>
  <sheetFormatPr defaultColWidth="9.109375" defaultRowHeight="13.2" x14ac:dyDescent="0.3"/>
  <cols>
    <col min="1" max="1" width="49.88671875" style="2" customWidth="1"/>
    <col min="2" max="2" width="12.6640625" style="2" customWidth="1"/>
    <col min="3" max="3" width="12.33203125" style="3" customWidth="1"/>
    <col min="4" max="4" width="12.5546875" style="3" hidden="1" customWidth="1"/>
    <col min="5" max="5" width="12.5546875" style="10" customWidth="1"/>
    <col min="6" max="6" width="10.6640625" style="10" customWidth="1"/>
    <col min="7" max="7" width="3.5546875" style="18" customWidth="1"/>
    <col min="8" max="8" width="39.77734375" style="2" customWidth="1"/>
    <col min="9" max="9" width="11.6640625" style="2" customWidth="1"/>
    <col min="10" max="16384" width="9.109375" style="2"/>
  </cols>
  <sheetData>
    <row r="1" spans="1:12" ht="58.5" customHeight="1" x14ac:dyDescent="0.3">
      <c r="A1" s="3" t="s">
        <v>28</v>
      </c>
      <c r="B1" s="2" t="s">
        <v>15</v>
      </c>
      <c r="C1" s="4" t="s">
        <v>9</v>
      </c>
      <c r="D1" s="4" t="s">
        <v>12</v>
      </c>
      <c r="E1" s="23" t="s">
        <v>26</v>
      </c>
      <c r="F1" s="4" t="s">
        <v>22</v>
      </c>
      <c r="H1" s="3" t="s">
        <v>28</v>
      </c>
      <c r="I1" s="2" t="s">
        <v>15</v>
      </c>
      <c r="J1" s="4" t="s">
        <v>9</v>
      </c>
      <c r="K1" s="23" t="s">
        <v>26</v>
      </c>
      <c r="L1" s="4" t="s">
        <v>22</v>
      </c>
    </row>
    <row r="2" spans="1:12" ht="25.8" customHeight="1" x14ac:dyDescent="0.3">
      <c r="A2" s="8" t="s">
        <v>18</v>
      </c>
      <c r="B2" s="6">
        <f>8912</f>
        <v>8912</v>
      </c>
      <c r="H2" s="8" t="s">
        <v>18</v>
      </c>
      <c r="I2" s="6">
        <f>8912</f>
        <v>8912</v>
      </c>
      <c r="J2" s="3"/>
      <c r="K2" s="10"/>
      <c r="L2" s="10"/>
    </row>
    <row r="3" spans="1:12" ht="26.4" x14ac:dyDescent="0.3">
      <c r="A3" s="8" t="s">
        <v>1</v>
      </c>
      <c r="B3" s="9">
        <f>B2*B4</f>
        <v>198390032</v>
      </c>
      <c r="C3" s="10"/>
      <c r="D3" s="10"/>
      <c r="H3" s="8" t="s">
        <v>1</v>
      </c>
      <c r="I3" s="9">
        <f>I4*I2</f>
        <v>249536000</v>
      </c>
      <c r="J3" s="10"/>
      <c r="K3" s="10"/>
      <c r="L3" s="10"/>
    </row>
    <row r="4" spans="1:12" x14ac:dyDescent="0.3">
      <c r="A4" s="8" t="s">
        <v>8</v>
      </c>
      <c r="B4" s="12">
        <v>22261</v>
      </c>
      <c r="C4" s="10"/>
      <c r="D4" s="10"/>
      <c r="H4" s="8" t="s">
        <v>8</v>
      </c>
      <c r="I4" s="26">
        <v>28000</v>
      </c>
      <c r="J4" s="10"/>
      <c r="K4" s="10"/>
      <c r="L4" s="10"/>
    </row>
    <row r="5" spans="1:12" s="3" customFormat="1" x14ac:dyDescent="0.3">
      <c r="A5" s="3" t="s">
        <v>34</v>
      </c>
      <c r="B5" s="10">
        <f>B3*5%</f>
        <v>9919501.5999999996</v>
      </c>
      <c r="C5" s="10">
        <f>B5/B2</f>
        <v>1113.05</v>
      </c>
      <c r="D5" s="10"/>
      <c r="E5" s="10"/>
      <c r="F5" s="10"/>
      <c r="G5" s="17"/>
      <c r="H5" s="3" t="s">
        <v>34</v>
      </c>
      <c r="I5" s="10">
        <f>I3*5%</f>
        <v>12476800</v>
      </c>
      <c r="J5" s="10">
        <f>I5/I2</f>
        <v>1400</v>
      </c>
      <c r="K5" s="10"/>
      <c r="L5" s="10"/>
    </row>
    <row r="6" spans="1:12" x14ac:dyDescent="0.3">
      <c r="B6" s="13"/>
      <c r="C6" s="14"/>
      <c r="D6" s="14"/>
      <c r="E6" s="14"/>
      <c r="F6" s="14"/>
      <c r="I6" s="13"/>
      <c r="J6" s="14"/>
      <c r="K6" s="14"/>
      <c r="L6" s="14" t="s">
        <v>42</v>
      </c>
    </row>
    <row r="7" spans="1:12" x14ac:dyDescent="0.3">
      <c r="A7" s="3" t="s">
        <v>29</v>
      </c>
      <c r="B7" s="13"/>
      <c r="C7" s="14"/>
      <c r="D7" s="14"/>
      <c r="E7" s="14"/>
      <c r="F7" s="14"/>
      <c r="H7" s="3" t="s">
        <v>29</v>
      </c>
      <c r="I7" s="13"/>
      <c r="J7" s="14"/>
      <c r="K7" s="14"/>
      <c r="L7" s="14"/>
    </row>
    <row r="8" spans="1:12" x14ac:dyDescent="0.3">
      <c r="A8" s="2" t="s">
        <v>11</v>
      </c>
      <c r="B8" s="16">
        <v>358</v>
      </c>
      <c r="C8" s="14"/>
      <c r="D8" s="14"/>
      <c r="E8" s="14"/>
      <c r="F8" s="14"/>
      <c r="H8" s="2" t="s">
        <v>11</v>
      </c>
      <c r="I8" s="16">
        <v>358</v>
      </c>
      <c r="J8" s="14"/>
      <c r="K8" s="14"/>
      <c r="L8" s="14"/>
    </row>
    <row r="9" spans="1:12" ht="26.4" x14ac:dyDescent="0.3">
      <c r="A9" s="8" t="s">
        <v>30</v>
      </c>
      <c r="B9" s="16">
        <v>4724100</v>
      </c>
      <c r="C9" s="14"/>
      <c r="D9" s="15"/>
      <c r="E9" s="14"/>
      <c r="F9" s="14"/>
      <c r="H9" s="8" t="s">
        <v>30</v>
      </c>
      <c r="I9" s="16">
        <v>4724100</v>
      </c>
      <c r="J9" s="14"/>
      <c r="K9" s="14"/>
      <c r="L9" s="14"/>
    </row>
    <row r="10" spans="1:12" x14ac:dyDescent="0.3">
      <c r="A10" s="8" t="s">
        <v>3</v>
      </c>
      <c r="B10" s="16">
        <v>393675</v>
      </c>
      <c r="C10" s="14"/>
      <c r="D10" s="15"/>
      <c r="E10" s="14"/>
      <c r="F10" s="14"/>
      <c r="H10" s="8" t="s">
        <v>3</v>
      </c>
      <c r="I10" s="16">
        <v>393675</v>
      </c>
      <c r="J10" s="14"/>
      <c r="K10" s="14"/>
      <c r="L10" s="14"/>
    </row>
    <row r="11" spans="1:12" x14ac:dyDescent="0.3">
      <c r="A11" s="8" t="s">
        <v>4</v>
      </c>
      <c r="B11" s="16">
        <f>2571756-492649</f>
        <v>2079107</v>
      </c>
      <c r="C11" s="14"/>
      <c r="D11" s="15"/>
      <c r="E11" s="14"/>
      <c r="F11" s="14"/>
      <c r="H11" s="8" t="s">
        <v>4</v>
      </c>
      <c r="I11" s="16">
        <f>2571756-492649</f>
        <v>2079107</v>
      </c>
      <c r="J11" s="14"/>
      <c r="K11" s="14"/>
      <c r="L11" s="14"/>
    </row>
    <row r="12" spans="1:12" x14ac:dyDescent="0.3">
      <c r="A12" s="8" t="s">
        <v>5</v>
      </c>
      <c r="B12" s="16">
        <v>2355649</v>
      </c>
      <c r="C12" s="14"/>
      <c r="D12" s="15"/>
      <c r="E12" s="14"/>
      <c r="F12" s="14"/>
      <c r="H12" s="8" t="s">
        <v>5</v>
      </c>
      <c r="I12" s="16">
        <v>2355649</v>
      </c>
      <c r="J12" s="14"/>
      <c r="K12" s="14"/>
      <c r="L12" s="14"/>
    </row>
    <row r="13" spans="1:12" x14ac:dyDescent="0.3">
      <c r="A13" s="8" t="s">
        <v>6</v>
      </c>
      <c r="B13" s="16">
        <v>196304</v>
      </c>
      <c r="C13" s="14"/>
      <c r="D13" s="15"/>
      <c r="E13" s="14"/>
      <c r="F13" s="14"/>
      <c r="H13" s="8" t="s">
        <v>6</v>
      </c>
      <c r="I13" s="16">
        <v>196304</v>
      </c>
      <c r="J13" s="14"/>
      <c r="K13" s="14"/>
      <c r="L13" s="14"/>
    </row>
    <row r="14" spans="1:12" ht="26.4" x14ac:dyDescent="0.3">
      <c r="A14" s="8" t="s">
        <v>35</v>
      </c>
      <c r="B14" s="27">
        <f>(973*B4*10%)*20%</f>
        <v>433199.06000000006</v>
      </c>
      <c r="C14" s="14"/>
      <c r="D14" s="15"/>
      <c r="E14" s="14"/>
      <c r="F14" s="14"/>
      <c r="H14" s="8" t="s">
        <v>35</v>
      </c>
      <c r="I14" s="27">
        <f>(973*I4*10%)*20%</f>
        <v>544880</v>
      </c>
      <c r="J14" s="14"/>
      <c r="K14" s="14"/>
      <c r="L14" s="14"/>
    </row>
    <row r="15" spans="1:12" s="3" customFormat="1" x14ac:dyDescent="0.3">
      <c r="A15" s="4" t="s">
        <v>7</v>
      </c>
      <c r="B15" s="14">
        <f>SUM(B9:B14)</f>
        <v>10182034.060000001</v>
      </c>
      <c r="C15" s="14">
        <f>B15/B2</f>
        <v>1142.5083101436267</v>
      </c>
      <c r="D15" s="15">
        <f>B8/B2</f>
        <v>4.0170556552962297E-2</v>
      </c>
      <c r="E15" s="14">
        <f>C5-C15</f>
        <v>-29.458310143626704</v>
      </c>
      <c r="F15" s="14">
        <f>E15*B2</f>
        <v>-262532.46000000119</v>
      </c>
      <c r="G15" s="17"/>
      <c r="H15" s="4" t="s">
        <v>7</v>
      </c>
      <c r="I15" s="14">
        <f>SUM(I9:I14)</f>
        <v>10293715</v>
      </c>
      <c r="J15" s="14">
        <f>I15/I2</f>
        <v>1155.0398339317774</v>
      </c>
      <c r="K15" s="14">
        <f>J5-J15</f>
        <v>244.96016606822263</v>
      </c>
      <c r="L15" s="14">
        <f>K15*I2</f>
        <v>2183085</v>
      </c>
    </row>
    <row r="16" spans="1:12" x14ac:dyDescent="0.3">
      <c r="A16" s="8"/>
      <c r="B16" s="13"/>
      <c r="C16" s="14"/>
      <c r="D16" s="15"/>
      <c r="E16" s="14"/>
      <c r="F16" s="14"/>
    </row>
    <row r="17" spans="2:7" x14ac:dyDescent="0.3">
      <c r="B17" s="11"/>
      <c r="C17" s="10"/>
      <c r="D17" s="7"/>
    </row>
    <row r="18" spans="2:7" x14ac:dyDescent="0.3">
      <c r="B18" s="11"/>
      <c r="C18" s="10"/>
      <c r="D18" s="7"/>
    </row>
    <row r="19" spans="2:7" x14ac:dyDescent="0.3">
      <c r="B19" s="11"/>
      <c r="C19" s="10"/>
      <c r="D19" s="10"/>
    </row>
    <row r="20" spans="2:7" x14ac:dyDescent="0.3">
      <c r="B20" s="11"/>
      <c r="C20" s="10"/>
      <c r="D20" s="10"/>
    </row>
    <row r="21" spans="2:7" x14ac:dyDescent="0.3">
      <c r="B21" s="11"/>
      <c r="C21" s="10"/>
      <c r="D21" s="10"/>
    </row>
    <row r="22" spans="2:7" x14ac:dyDescent="0.3">
      <c r="B22" s="11"/>
      <c r="C22" s="10"/>
      <c r="D22" s="10"/>
    </row>
    <row r="23" spans="2:7" x14ac:dyDescent="0.3">
      <c r="B23" s="11"/>
      <c r="C23" s="10"/>
      <c r="D23" s="10"/>
    </row>
    <row r="24" spans="2:7" s="3" customFormat="1" x14ac:dyDescent="0.3">
      <c r="E24" s="10"/>
      <c r="F24" s="10"/>
      <c r="G24" s="1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3"/>
  <sheetViews>
    <sheetView zoomScaleNormal="100" workbookViewId="0">
      <selection activeCell="C19" sqref="C19"/>
    </sheetView>
  </sheetViews>
  <sheetFormatPr defaultColWidth="9.109375" defaultRowHeight="13.2" x14ac:dyDescent="0.3"/>
  <cols>
    <col min="1" max="1" width="44" style="2" customWidth="1"/>
    <col min="2" max="2" width="12.6640625" style="2" customWidth="1"/>
    <col min="3" max="3" width="12.33203125" style="3" customWidth="1"/>
    <col min="4" max="4" width="12.5546875" style="3" hidden="1" customWidth="1"/>
    <col min="5" max="5" width="12.5546875" style="10" customWidth="1"/>
    <col min="6" max="6" width="10.6640625" style="10" customWidth="1"/>
    <col min="7" max="16384" width="9.109375" style="2"/>
  </cols>
  <sheetData>
    <row r="1" spans="1:6" ht="58.5" customHeight="1" x14ac:dyDescent="0.3">
      <c r="A1" s="3" t="s">
        <v>28</v>
      </c>
      <c r="B1" s="2" t="s">
        <v>15</v>
      </c>
      <c r="C1" s="4" t="s">
        <v>9</v>
      </c>
      <c r="D1" s="4" t="s">
        <v>12</v>
      </c>
      <c r="E1" s="23" t="s">
        <v>26</v>
      </c>
      <c r="F1" s="4" t="s">
        <v>22</v>
      </c>
    </row>
    <row r="2" spans="1:6" ht="25.8" customHeight="1" x14ac:dyDescent="0.3">
      <c r="A2" s="8" t="s">
        <v>18</v>
      </c>
      <c r="B2" s="6">
        <v>272</v>
      </c>
    </row>
    <row r="3" spans="1:6" ht="26.4" x14ac:dyDescent="0.3">
      <c r="A3" s="8" t="s">
        <v>1</v>
      </c>
      <c r="B3" s="9">
        <f>B2*B4</f>
        <v>6256000</v>
      </c>
      <c r="C3" s="10"/>
      <c r="D3" s="10"/>
    </row>
    <row r="4" spans="1:6" x14ac:dyDescent="0.3">
      <c r="A4" s="8" t="s">
        <v>8</v>
      </c>
      <c r="B4" s="12">
        <v>23000</v>
      </c>
      <c r="C4" s="10"/>
      <c r="D4" s="10"/>
    </row>
    <row r="5" spans="1:6" s="3" customFormat="1" x14ac:dyDescent="0.3">
      <c r="A5" s="3" t="s">
        <v>33</v>
      </c>
      <c r="B5" s="10">
        <f>B3*5%</f>
        <v>312800</v>
      </c>
      <c r="C5" s="10">
        <f>B5/B2</f>
        <v>1150</v>
      </c>
      <c r="D5" s="10"/>
      <c r="E5" s="10"/>
      <c r="F5" s="10"/>
    </row>
    <row r="6" spans="1:6" x14ac:dyDescent="0.3">
      <c r="B6" s="13"/>
      <c r="C6" s="14"/>
      <c r="D6" s="14"/>
      <c r="E6" s="14"/>
      <c r="F6" s="14"/>
    </row>
    <row r="7" spans="1:6" x14ac:dyDescent="0.3">
      <c r="A7" s="3" t="s">
        <v>29</v>
      </c>
      <c r="B7" s="13"/>
      <c r="C7" s="14"/>
      <c r="D7" s="14"/>
      <c r="E7" s="14"/>
      <c r="F7" s="14"/>
    </row>
    <row r="8" spans="1:6" x14ac:dyDescent="0.3">
      <c r="A8" s="2" t="s">
        <v>11</v>
      </c>
      <c r="B8" s="16">
        <v>1</v>
      </c>
      <c r="C8" s="14"/>
      <c r="D8" s="14"/>
      <c r="E8" s="14"/>
      <c r="F8" s="14"/>
    </row>
    <row r="9" spans="1:6" x14ac:dyDescent="0.3">
      <c r="A9" s="8" t="s">
        <v>30</v>
      </c>
      <c r="B9" s="16">
        <f>8000*12*18%</f>
        <v>17280</v>
      </c>
      <c r="C9" s="14"/>
      <c r="D9" s="15"/>
      <c r="E9" s="14"/>
      <c r="F9" s="14"/>
    </row>
    <row r="10" spans="1:6" x14ac:dyDescent="0.3">
      <c r="A10" s="8" t="s">
        <v>3</v>
      </c>
      <c r="B10" s="16">
        <f>8000*12*1.5%</f>
        <v>1440</v>
      </c>
      <c r="C10" s="14"/>
      <c r="D10" s="15"/>
      <c r="E10" s="14"/>
      <c r="F10" s="14"/>
    </row>
    <row r="11" spans="1:6" x14ac:dyDescent="0.3">
      <c r="A11" s="8" t="s">
        <v>4</v>
      </c>
      <c r="B11" s="16">
        <f>B3*0.95/100</f>
        <v>59432</v>
      </c>
      <c r="C11" s="14"/>
      <c r="D11" s="15"/>
      <c r="E11" s="14"/>
      <c r="F11" s="14"/>
    </row>
    <row r="12" spans="1:6" x14ac:dyDescent="0.3">
      <c r="A12" s="8" t="s">
        <v>5</v>
      </c>
      <c r="B12" s="16">
        <f>B3*6%*18%</f>
        <v>67564.800000000003</v>
      </c>
      <c r="C12" s="14"/>
      <c r="D12" s="15"/>
      <c r="E12" s="14"/>
      <c r="F12" s="14"/>
    </row>
    <row r="13" spans="1:6" x14ac:dyDescent="0.3">
      <c r="A13" s="8" t="s">
        <v>6</v>
      </c>
      <c r="B13" s="16">
        <f>B3*6%*1.5%</f>
        <v>5630.4</v>
      </c>
      <c r="C13" s="14"/>
      <c r="D13" s="15"/>
      <c r="E13" s="14"/>
      <c r="F13" s="14"/>
    </row>
    <row r="14" spans="1:6" s="3" customFormat="1" x14ac:dyDescent="0.3">
      <c r="A14" s="4" t="s">
        <v>7</v>
      </c>
      <c r="B14" s="14">
        <f>SUM(B9:B13)</f>
        <v>151347.19999999998</v>
      </c>
      <c r="C14" s="14">
        <f>B14/B2</f>
        <v>556.42352941176466</v>
      </c>
      <c r="D14" s="15">
        <f>B8/B2</f>
        <v>3.6764705882352941E-3</v>
      </c>
      <c r="E14" s="14">
        <f>C5-C14</f>
        <v>593.57647058823534</v>
      </c>
      <c r="F14" s="14">
        <f>E14*B2</f>
        <v>161452.80000000002</v>
      </c>
    </row>
    <row r="15" spans="1:6" x14ac:dyDescent="0.3">
      <c r="A15" s="8"/>
      <c r="B15" s="13"/>
      <c r="C15" s="14"/>
      <c r="D15" s="15"/>
      <c r="E15" s="14"/>
      <c r="F15" s="14"/>
    </row>
    <row r="16" spans="1:6" x14ac:dyDescent="0.3">
      <c r="B16" s="11"/>
      <c r="C16" s="10"/>
      <c r="D16" s="7"/>
    </row>
    <row r="17" spans="2:6" x14ac:dyDescent="0.3">
      <c r="B17" s="11"/>
      <c r="C17" s="10"/>
      <c r="D17" s="7"/>
    </row>
    <row r="18" spans="2:6" x14ac:dyDescent="0.3">
      <c r="B18" s="11"/>
      <c r="C18" s="10"/>
      <c r="D18" s="10"/>
    </row>
    <row r="23" spans="2:6" s="3" customFormat="1" x14ac:dyDescent="0.3">
      <c r="E23" s="10"/>
      <c r="F23" s="1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2"/>
  <sheetViews>
    <sheetView tabSelected="1" zoomScale="90" zoomScaleNormal="90" workbookViewId="0">
      <pane ySplit="1" topLeftCell="A2" activePane="bottomLeft" state="frozen"/>
      <selection pane="bottomLeft" activeCell="K10" sqref="K10"/>
    </sheetView>
  </sheetViews>
  <sheetFormatPr defaultColWidth="9.109375" defaultRowHeight="13.2" x14ac:dyDescent="0.3"/>
  <cols>
    <col min="1" max="1" width="51.5546875" style="2" customWidth="1"/>
    <col min="2" max="2" width="11.44140625" style="2" customWidth="1"/>
    <col min="3" max="4" width="12.6640625" style="3" customWidth="1"/>
    <col min="5" max="5" width="13.6640625" style="7" hidden="1" customWidth="1"/>
    <col min="6" max="6" width="10.109375" style="3" customWidth="1"/>
    <col min="7" max="7" width="3.5546875" style="2" customWidth="1"/>
    <col min="8" max="8" width="50.109375" style="2" customWidth="1"/>
    <col min="9" max="16384" width="9.109375" style="2"/>
  </cols>
  <sheetData>
    <row r="1" spans="1:12" ht="69.75" customHeight="1" x14ac:dyDescent="0.3">
      <c r="A1" s="3" t="s">
        <v>28</v>
      </c>
      <c r="B1" s="1" t="s">
        <v>15</v>
      </c>
      <c r="C1" s="4" t="s">
        <v>9</v>
      </c>
      <c r="D1" s="23" t="s">
        <v>26</v>
      </c>
      <c r="E1" s="5" t="s">
        <v>12</v>
      </c>
      <c r="F1" s="21" t="s">
        <v>13</v>
      </c>
      <c r="G1" s="18"/>
      <c r="H1" s="3" t="s">
        <v>28</v>
      </c>
      <c r="I1" s="1" t="s">
        <v>15</v>
      </c>
      <c r="J1" s="4" t="s">
        <v>9</v>
      </c>
      <c r="K1" s="23" t="s">
        <v>26</v>
      </c>
      <c r="L1" s="21" t="s">
        <v>13</v>
      </c>
    </row>
    <row r="2" spans="1:12" ht="26.4" x14ac:dyDescent="0.3">
      <c r="A2" s="8" t="s">
        <v>19</v>
      </c>
      <c r="B2" s="6">
        <v>130</v>
      </c>
      <c r="G2" s="18"/>
      <c r="H2" s="8" t="s">
        <v>19</v>
      </c>
      <c r="I2" s="6">
        <v>130</v>
      </c>
      <c r="J2" s="3"/>
      <c r="K2" s="3"/>
      <c r="L2" s="3"/>
    </row>
    <row r="3" spans="1:12" x14ac:dyDescent="0.3">
      <c r="A3" s="8" t="s">
        <v>14</v>
      </c>
      <c r="B3" s="9">
        <f>B2*B4</f>
        <v>3339960</v>
      </c>
      <c r="C3" s="10"/>
      <c r="D3" s="10"/>
      <c r="F3" s="10"/>
      <c r="G3" s="19"/>
      <c r="H3" s="8" t="s">
        <v>14</v>
      </c>
      <c r="I3" s="9">
        <f>I2*I4</f>
        <v>3339960</v>
      </c>
      <c r="J3" s="10"/>
      <c r="K3" s="10"/>
      <c r="L3" s="10"/>
    </row>
    <row r="4" spans="1:12" x14ac:dyDescent="0.3">
      <c r="A4" s="8" t="s">
        <v>8</v>
      </c>
      <c r="B4" s="12">
        <v>25692</v>
      </c>
      <c r="C4" s="10"/>
      <c r="D4" s="10"/>
      <c r="F4" s="10"/>
      <c r="G4" s="19"/>
      <c r="H4" s="8" t="s">
        <v>8</v>
      </c>
      <c r="I4" s="12">
        <v>25692</v>
      </c>
      <c r="J4" s="10"/>
      <c r="K4" s="10"/>
      <c r="L4" s="10"/>
    </row>
    <row r="5" spans="1:12" s="3" customFormat="1" x14ac:dyDescent="0.3">
      <c r="A5" s="3" t="s">
        <v>33</v>
      </c>
      <c r="B5" s="10">
        <f>B3*5%</f>
        <v>166998</v>
      </c>
      <c r="C5" s="10">
        <f>B5/B2</f>
        <v>1284.5999999999999</v>
      </c>
      <c r="D5" s="10"/>
      <c r="E5" s="7"/>
      <c r="F5" s="10"/>
      <c r="G5" s="20"/>
      <c r="H5" s="3" t="s">
        <v>33</v>
      </c>
      <c r="I5" s="10">
        <f>I3*5%</f>
        <v>166998</v>
      </c>
      <c r="J5" s="10">
        <f>I5/I2</f>
        <v>1284.5999999999999</v>
      </c>
      <c r="K5" s="10"/>
      <c r="L5" s="10"/>
    </row>
    <row r="6" spans="1:12" x14ac:dyDescent="0.3">
      <c r="B6" s="13"/>
      <c r="C6" s="14"/>
      <c r="D6" s="14"/>
      <c r="E6" s="15"/>
      <c r="F6" s="10"/>
      <c r="G6" s="19"/>
      <c r="I6" s="13"/>
      <c r="J6" s="14"/>
      <c r="K6" s="14"/>
      <c r="L6" s="10"/>
    </row>
    <row r="7" spans="1:12" x14ac:dyDescent="0.3">
      <c r="A7" s="3" t="s">
        <v>29</v>
      </c>
      <c r="B7" s="13"/>
      <c r="C7" s="14"/>
      <c r="D7" s="14"/>
      <c r="E7" s="15"/>
      <c r="F7" s="10"/>
      <c r="G7" s="19"/>
      <c r="H7" s="3" t="s">
        <v>29</v>
      </c>
      <c r="I7" s="13"/>
      <c r="J7" s="14"/>
      <c r="K7" s="14"/>
      <c r="L7" s="10"/>
    </row>
    <row r="8" spans="1:12" x14ac:dyDescent="0.3">
      <c r="A8" s="2" t="s">
        <v>11</v>
      </c>
      <c r="B8" s="16">
        <v>3</v>
      </c>
      <c r="C8" s="14"/>
      <c r="D8" s="14"/>
      <c r="E8" s="15"/>
      <c r="F8" s="10"/>
      <c r="G8" s="19"/>
      <c r="H8" s="2" t="s">
        <v>11</v>
      </c>
      <c r="I8" s="16">
        <v>3</v>
      </c>
      <c r="J8" s="14"/>
      <c r="K8" s="14"/>
      <c r="L8" s="10"/>
    </row>
    <row r="9" spans="1:12" ht="39.6" x14ac:dyDescent="0.3">
      <c r="A9" s="8" t="s">
        <v>37</v>
      </c>
      <c r="B9" s="16">
        <f>B20*20%*18%</f>
        <v>84240</v>
      </c>
      <c r="C9" s="14"/>
      <c r="D9" s="14"/>
      <c r="E9" s="15"/>
      <c r="F9" s="10"/>
      <c r="G9" s="19"/>
      <c r="H9" s="8" t="s">
        <v>36</v>
      </c>
      <c r="I9" s="16">
        <f>I20*20%*18%*60%</f>
        <v>50544</v>
      </c>
      <c r="J9" s="14"/>
      <c r="K9" s="14"/>
      <c r="L9" s="10"/>
    </row>
    <row r="10" spans="1:12" x14ac:dyDescent="0.3">
      <c r="A10" s="8" t="s">
        <v>2</v>
      </c>
      <c r="B10" s="16">
        <f>B8*8000*12*18%</f>
        <v>51840</v>
      </c>
      <c r="C10" s="14"/>
      <c r="D10" s="14"/>
      <c r="E10" s="15"/>
      <c r="F10" s="10"/>
      <c r="G10" s="19"/>
      <c r="H10" s="8" t="s">
        <v>2</v>
      </c>
      <c r="I10" s="16">
        <f>I8*8000*12*18%*60%</f>
        <v>31104</v>
      </c>
      <c r="J10" s="14"/>
      <c r="K10" s="14"/>
      <c r="L10" s="10"/>
    </row>
    <row r="11" spans="1:12" x14ac:dyDescent="0.3">
      <c r="A11" s="8" t="s">
        <v>3</v>
      </c>
      <c r="B11" s="16">
        <f>B8*8000*12*1.5%</f>
        <v>4320</v>
      </c>
      <c r="C11" s="14"/>
      <c r="D11" s="14"/>
      <c r="E11" s="15"/>
      <c r="F11" s="10"/>
      <c r="G11" s="19"/>
      <c r="H11" s="8" t="s">
        <v>3</v>
      </c>
      <c r="I11" s="16">
        <f>I8*8000*12*1.5%*60%</f>
        <v>2592</v>
      </c>
      <c r="J11" s="14"/>
      <c r="K11" s="14"/>
      <c r="L11" s="10"/>
    </row>
    <row r="12" spans="1:12" x14ac:dyDescent="0.3">
      <c r="A12" s="8" t="s">
        <v>23</v>
      </c>
      <c r="B12" s="16"/>
      <c r="C12" s="14"/>
      <c r="D12" s="14"/>
      <c r="E12" s="15"/>
      <c r="F12" s="10"/>
      <c r="G12" s="19"/>
      <c r="H12" s="8" t="s">
        <v>23</v>
      </c>
      <c r="I12" s="16"/>
      <c r="J12" s="14"/>
      <c r="K12" s="14"/>
      <c r="L12" s="10"/>
    </row>
    <row r="13" spans="1:12" x14ac:dyDescent="0.3">
      <c r="A13" s="8" t="s">
        <v>5</v>
      </c>
      <c r="B13" s="16">
        <f>B3*7%*18%</f>
        <v>42083.495999999999</v>
      </c>
      <c r="C13" s="14"/>
      <c r="D13" s="14"/>
      <c r="E13" s="15"/>
      <c r="F13" s="10"/>
      <c r="G13" s="19"/>
      <c r="H13" s="8" t="s">
        <v>5</v>
      </c>
      <c r="I13" s="16">
        <f>I3*7%*18%</f>
        <v>42083.495999999999</v>
      </c>
      <c r="J13" s="14"/>
      <c r="K13" s="14"/>
      <c r="L13" s="10"/>
    </row>
    <row r="14" spans="1:12" x14ac:dyDescent="0.3">
      <c r="A14" s="8" t="s">
        <v>6</v>
      </c>
      <c r="B14" s="16">
        <f>B3*7%*1.5%</f>
        <v>3506.9580000000001</v>
      </c>
      <c r="C14" s="14"/>
      <c r="D14" s="14"/>
      <c r="E14" s="15"/>
      <c r="F14" s="10"/>
      <c r="G14" s="19"/>
      <c r="H14" s="8" t="s">
        <v>6</v>
      </c>
      <c r="I14" s="16">
        <f>I3*7%*1.5%</f>
        <v>3506.9580000000001</v>
      </c>
      <c r="J14" s="14"/>
      <c r="K14" s="14"/>
      <c r="L14" s="10"/>
    </row>
    <row r="15" spans="1:12" s="3" customFormat="1" x14ac:dyDescent="0.3">
      <c r="A15" s="4" t="s">
        <v>7</v>
      </c>
      <c r="B15" s="14">
        <f>SUM(B9:B14)</f>
        <v>185990.454</v>
      </c>
      <c r="C15" s="14">
        <f>B15/B2</f>
        <v>1430.6958</v>
      </c>
      <c r="D15" s="14">
        <f>C5-C15</f>
        <v>-146.09580000000005</v>
      </c>
      <c r="E15" s="15">
        <f>B8/B2</f>
        <v>2.3076923076923078E-2</v>
      </c>
      <c r="F15" s="10">
        <f>D15*B2</f>
        <v>-18992.454000000005</v>
      </c>
      <c r="G15" s="20"/>
      <c r="H15" s="4" t="s">
        <v>7</v>
      </c>
      <c r="I15" s="14">
        <f>SUM(I9:I14)</f>
        <v>129830.454</v>
      </c>
      <c r="J15" s="14">
        <f>I15/I2</f>
        <v>998.69579999999996</v>
      </c>
      <c r="K15" s="14">
        <f>J5-J15</f>
        <v>285.90419999999995</v>
      </c>
      <c r="L15" s="10">
        <f>K15*I2</f>
        <v>37167.545999999995</v>
      </c>
    </row>
    <row r="16" spans="1:12" x14ac:dyDescent="0.3">
      <c r="A16" s="8"/>
      <c r="B16" s="13"/>
      <c r="C16" s="14"/>
      <c r="D16" s="14"/>
      <c r="E16" s="15"/>
      <c r="F16" s="10"/>
      <c r="G16" s="19"/>
      <c r="H16" s="8"/>
      <c r="I16" s="13"/>
      <c r="J16" s="14"/>
      <c r="K16" s="14"/>
      <c r="L16" s="10"/>
    </row>
    <row r="17" spans="1:12" x14ac:dyDescent="0.3">
      <c r="B17" s="11"/>
      <c r="C17" s="10"/>
      <c r="D17" s="10"/>
      <c r="F17" s="10"/>
      <c r="G17" s="19"/>
      <c r="I17" s="11"/>
      <c r="J17" s="10"/>
      <c r="K17" s="10"/>
      <c r="L17" s="10"/>
    </row>
    <row r="18" spans="1:12" s="3" customFormat="1" x14ac:dyDescent="0.3">
      <c r="A18" s="3" t="s">
        <v>32</v>
      </c>
      <c r="B18" s="10">
        <f>B2*B4*0.3%</f>
        <v>10019.880000000001</v>
      </c>
      <c r="C18" s="10"/>
      <c r="D18" s="10"/>
      <c r="E18" s="7"/>
      <c r="F18" s="10"/>
      <c r="G18" s="20"/>
      <c r="H18" s="3" t="s">
        <v>32</v>
      </c>
      <c r="I18" s="10">
        <f>I2*I4*0.3%</f>
        <v>10019.880000000001</v>
      </c>
      <c r="J18" s="10"/>
      <c r="K18" s="10"/>
      <c r="L18" s="10"/>
    </row>
    <row r="19" spans="1:12" x14ac:dyDescent="0.3">
      <c r="B19" s="11"/>
      <c r="C19" s="10"/>
      <c r="D19" s="10"/>
      <c r="F19" s="10"/>
      <c r="G19" s="19"/>
      <c r="I19" s="11"/>
      <c r="J19" s="10"/>
      <c r="K19" s="10"/>
      <c r="L19" s="10"/>
    </row>
    <row r="20" spans="1:12" ht="39.6" x14ac:dyDescent="0.3">
      <c r="A20" s="8" t="s">
        <v>27</v>
      </c>
      <c r="B20" s="24">
        <f>B2*18000</f>
        <v>2340000</v>
      </c>
      <c r="G20" s="18"/>
      <c r="H20" s="8" t="s">
        <v>27</v>
      </c>
      <c r="I20" s="24">
        <f>I2*18000</f>
        <v>2340000</v>
      </c>
      <c r="J20" s="3"/>
      <c r="K20" s="3"/>
      <c r="L20" s="3"/>
    </row>
    <row r="21" spans="1:12" x14ac:dyDescent="0.3">
      <c r="G21" s="18"/>
      <c r="J21" s="3"/>
      <c r="K21" s="3"/>
      <c r="L21" s="3"/>
    </row>
    <row r="22" spans="1:12" x14ac:dyDescent="0.3">
      <c r="G22" s="18"/>
      <c r="J22" s="3"/>
      <c r="K22" s="3"/>
      <c r="L22" s="3"/>
    </row>
  </sheetData>
  <pageMargins left="0.7" right="0.7" top="0.75" bottom="0.75" header="0.3" footer="0.3"/>
  <pageSetup paperSize="9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фіз.ос заг пай</vt:lpstr>
      <vt:lpstr>Юр 4 гр ТвРос</vt:lpstr>
      <vt:lpstr>ФГ 4 гр</vt:lpstr>
      <vt:lpstr>Юр заг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Tkachenko</cp:lastModifiedBy>
  <dcterms:created xsi:type="dcterms:W3CDTF">2020-05-29T12:08:51Z</dcterms:created>
  <dcterms:modified xsi:type="dcterms:W3CDTF">2022-01-13T14:41:35Z</dcterms:modified>
</cp:coreProperties>
</file>